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m\Desktop\"/>
    </mc:Choice>
  </mc:AlternateContent>
  <xr:revisionPtr revIDLastSave="0" documentId="13_ncr:20001_{33ECAD2E-00C5-4822-9CE4-5600864665EC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Loan Tracker" sheetId="1" r:id="rId1"/>
    <sheet name="Dashboard" sheetId="2" r:id="rId2"/>
    <sheet name="Lists" sheetId="3" state="hidden" r:id="rId3"/>
  </sheets>
  <definedNames>
    <definedName name="_xlnm._FilterDatabase" localSheetId="0" hidden="1">'Loan Tracker'!$A$4:$O$14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0" i="2" l="1"/>
  <c r="B10" i="2"/>
  <c r="B9" i="2"/>
  <c r="E8" i="2"/>
  <c r="B8" i="2"/>
  <c r="E7" i="2"/>
  <c r="E6" i="2"/>
  <c r="E5" i="2"/>
  <c r="E4" i="2"/>
  <c r="B4" i="2"/>
  <c r="B3" i="2"/>
  <c r="H14" i="1"/>
  <c r="I14" i="1" s="1"/>
  <c r="H13" i="1"/>
  <c r="I13" i="1" s="1"/>
  <c r="H12" i="1"/>
  <c r="I12" i="1" s="1"/>
  <c r="H11" i="1"/>
  <c r="I11" i="1" s="1"/>
  <c r="H10" i="1"/>
  <c r="I10" i="1" s="1"/>
  <c r="H9" i="1"/>
  <c r="I9" i="1" s="1"/>
  <c r="H8" i="1"/>
  <c r="I8" i="1" s="1"/>
  <c r="H7" i="1"/>
  <c r="I7" i="1" s="1"/>
  <c r="H6" i="1"/>
  <c r="I6" i="1" s="1"/>
  <c r="H5" i="1"/>
  <c r="I5" i="1" s="1"/>
  <c r="J14" i="1" l="1"/>
  <c r="K14" i="1"/>
  <c r="B19" i="2" s="1"/>
  <c r="J12" i="1"/>
  <c r="K12" i="1"/>
  <c r="J6" i="1"/>
  <c r="K6" i="1"/>
  <c r="J10" i="1"/>
  <c r="K10" i="1"/>
  <c r="B18" i="2" s="1"/>
  <c r="J7" i="1"/>
  <c r="K7" i="1"/>
  <c r="J11" i="1"/>
  <c r="K11" i="1"/>
  <c r="J8" i="1"/>
  <c r="K8" i="1"/>
  <c r="J5" i="1"/>
  <c r="B5" i="2"/>
  <c r="J9" i="1"/>
  <c r="K9" i="1"/>
  <c r="B17" i="2" s="1"/>
  <c r="J13" i="1"/>
  <c r="K13" i="1" s="1"/>
  <c r="B16" i="2" l="1"/>
  <c r="B15" i="2"/>
  <c r="B6" i="2"/>
  <c r="K5" i="1"/>
  <c r="B14" i="2" l="1"/>
  <c r="B7" i="2"/>
</calcChain>
</file>

<file path=xl/sharedStrings.xml><?xml version="1.0" encoding="utf-8"?>
<sst xmlns="http://schemas.openxmlformats.org/spreadsheetml/2006/main" count="121" uniqueCount="73">
  <si>
    <t>LOAN TRACKER</t>
  </si>
  <si>
    <t>Track loans, repayments, outstanding balances, interest and due dates</t>
  </si>
  <si>
    <t>Loan ID</t>
  </si>
  <si>
    <t>Borrower Name</t>
  </si>
  <si>
    <t>Loan Type</t>
  </si>
  <si>
    <t>Loan Start Date</t>
  </si>
  <si>
    <t>Due Date</t>
  </si>
  <si>
    <t>Principal Amount</t>
  </si>
  <si>
    <t>Interest Rate</t>
  </si>
  <si>
    <t>Total Interest</t>
  </si>
  <si>
    <t>Total Payable</t>
  </si>
  <si>
    <t>Amount Paid</t>
  </si>
  <si>
    <t>Outstanding Balance</t>
  </si>
  <si>
    <t>Next Payment Date</t>
  </si>
  <si>
    <t>Payment Frequency</t>
  </si>
  <si>
    <t>Status</t>
  </si>
  <si>
    <t>Remarks</t>
  </si>
  <si>
    <t>LN-001</t>
  </si>
  <si>
    <t>Personal Loan</t>
  </si>
  <si>
    <t>Monthly</t>
  </si>
  <si>
    <t>Active</t>
  </si>
  <si>
    <t>Regular monthly repayment</t>
  </si>
  <si>
    <t>LN-002</t>
  </si>
  <si>
    <t>Neha Sharma</t>
  </si>
  <si>
    <t>Education Loan</t>
  </si>
  <si>
    <t>Education expenses</t>
  </si>
  <si>
    <t>LN-003</t>
  </si>
  <si>
    <t>Business Loan</t>
  </si>
  <si>
    <t>Quarterly</t>
  </si>
  <si>
    <t>Working capital</t>
  </si>
  <si>
    <t>LN-004</t>
  </si>
  <si>
    <t>Pooja Singh</t>
  </si>
  <si>
    <t>Overdue</t>
  </si>
  <si>
    <t>Payment delayed</t>
  </si>
  <si>
    <t>LN-005</t>
  </si>
  <si>
    <t>Vikas Jain</t>
  </si>
  <si>
    <t>Vehicle Loan</t>
  </si>
  <si>
    <t>Car finance</t>
  </si>
  <si>
    <t>LN-006</t>
  </si>
  <si>
    <t>Home Improvement</t>
  </si>
  <si>
    <t>Renovation loan</t>
  </si>
  <si>
    <t>LN-007</t>
  </si>
  <si>
    <t>Suresh Patel</t>
  </si>
  <si>
    <t>Inventory purchase</t>
  </si>
  <si>
    <t>LN-008</t>
  </si>
  <si>
    <t>Meena Das</t>
  </si>
  <si>
    <t>Closed</t>
  </si>
  <si>
    <t>Fully repaid</t>
  </si>
  <si>
    <t>LN-009</t>
  </si>
  <si>
    <t>Karan Mehta</t>
  </si>
  <si>
    <t>Higher education</t>
  </si>
  <si>
    <t>LN-010</t>
  </si>
  <si>
    <t>Emergency Loan</t>
  </si>
  <si>
    <t>Emergency assistance</t>
  </si>
  <si>
    <t>Tip: Edit the loan details and Amount Paid. Interest and Outstanding Balance update automatically.</t>
  </si>
  <si>
    <t>LOAN TRACKER DASHBOARD</t>
  </si>
  <si>
    <t>Total Loans</t>
  </si>
  <si>
    <t>Count</t>
  </si>
  <si>
    <t>Total Principal</t>
  </si>
  <si>
    <t>Pending</t>
  </si>
  <si>
    <t>Overdue Loans</t>
  </si>
  <si>
    <t>On Hold</t>
  </si>
  <si>
    <t>Active Loans</t>
  </si>
  <si>
    <t>Closed Loans</t>
  </si>
  <si>
    <t>Other</t>
  </si>
  <si>
    <t>Half-Yearly</t>
  </si>
  <si>
    <t>Yearly</t>
  </si>
  <si>
    <t>One-Time</t>
  </si>
  <si>
    <t>Dropdown Lists</t>
  </si>
  <si>
    <t>Ravi Kumar</t>
  </si>
  <si>
    <t>Sumit Mahor</t>
  </si>
  <si>
    <t>Rina Ahuja</t>
  </si>
  <si>
    <t>Vikas Gupta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</si>
</sst>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dd\-mmm\-yyyy"/>
    <numFmt numFmtId="166" formatCode="\₹#,##0.00"/>
  </numFmts>
  <fonts count="9" x14ac:knownFonts="1">
    <font>
      <sz val="11"/>
      <color theme="1"/>
      <name val="Calibri"/>
      <family val="2"/>
      <scheme val="minor"/>
    </font>
    <font>
      <b/>
      <sz val="18"/>
      <color rgb="FFFFFFFF"/>
      <name val="Calibri"/>
    </font>
    <font>
      <b/>
      <sz val="11"/>
      <color rgb="FFFFFFFF"/>
      <name val="Calibri"/>
    </font>
    <font>
      <i/>
      <sz val="11"/>
      <color rgb="FF666666"/>
      <name val="Calibri"/>
    </font>
    <font>
      <b/>
      <sz val="11"/>
      <name val="Calibri"/>
    </font>
    <font>
      <b/>
      <sz val="11"/>
      <color rgb="FF333333"/>
      <name val="Calibri"/>
    </font>
    <font>
      <b/>
      <sz val="12"/>
      <color rgb="FF1F4E78"/>
      <name val="Calibri"/>
    </font>
    <font>
      <b/>
      <sz val="12"/>
      <color theme="0"/>
      <name val="Calibri"/>
      <family val="2"/>
      <scheme val="minor"/>
    </font>
    <font>
      <sz val="1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8FBFD"/>
      </patternFill>
    </fill>
    <fill>
      <patternFill patternType="solid">
        <fgColor rgb="FFD9EAF7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0" borderId="0" xfId="0" applyFont="1"/>
    <xf numFmtId="0" fontId="0" fillId="0" borderId="0" xfId="0"/>
    <xf numFmtId="0" fontId="3" fillId="2" borderId="0" xfId="0" applyFont="1" applyFill="1"/>
    <xf numFmtId="0" fontId="1" fillId="5" borderId="0" xfId="0" applyFont="1" applyFill="1" applyAlignment="1">
      <alignment horizontal="center" vertical="center"/>
    </xf>
    <xf numFmtId="0" fontId="0" fillId="5" borderId="0" xfId="0" applyFill="1"/>
    <xf numFmtId="0" fontId="0" fillId="5" borderId="0" xfId="0" applyFill="1"/>
    <xf numFmtId="0" fontId="7" fillId="5" borderId="1" xfId="0" applyFont="1" applyFill="1" applyBorder="1" applyAlignment="1">
      <alignment horizontal="center" vertical="center"/>
    </xf>
    <xf numFmtId="0" fontId="0" fillId="0" borderId="1" xfId="0" applyBorder="1"/>
    <xf numFmtId="0" fontId="0" fillId="3" borderId="1" xfId="0" applyFill="1" applyBorder="1" applyAlignment="1">
      <alignment horizontal="center" vertical="center" wrapText="1"/>
    </xf>
    <xf numFmtId="165" fontId="0" fillId="3" borderId="1" xfId="0" applyNumberFormat="1" applyFill="1" applyBorder="1" applyAlignment="1">
      <alignment horizontal="center" vertical="center" wrapText="1"/>
    </xf>
    <xf numFmtId="166" fontId="0" fillId="3" borderId="1" xfId="0" applyNumberFormat="1" applyFill="1" applyBorder="1" applyAlignment="1">
      <alignment horizontal="center" vertical="center" wrapText="1"/>
    </xf>
    <xf numFmtId="10" fontId="0" fillId="3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166" fontId="0" fillId="0" borderId="1" xfId="0" applyNumberFormat="1" applyBorder="1" applyAlignment="1">
      <alignment horizontal="center" vertical="center" wrapText="1"/>
    </xf>
    <xf numFmtId="10" fontId="0" fillId="0" borderId="1" xfId="0" applyNumberFormat="1" applyBorder="1" applyAlignment="1">
      <alignment horizontal="center" vertical="center" wrapText="1"/>
    </xf>
    <xf numFmtId="0" fontId="0" fillId="0" borderId="0" xfId="0" applyFont="1"/>
    <xf numFmtId="0" fontId="8" fillId="0" borderId="0" xfId="0" applyFont="1" applyAlignment="1">
      <alignment horizontal="center"/>
    </xf>
    <xf numFmtId="0" fontId="0" fillId="5" borderId="0" xfId="0" applyFill="1" applyAlignment="1">
      <alignment vertical="center"/>
    </xf>
    <xf numFmtId="0" fontId="2" fillId="5" borderId="0" xfId="0" applyFont="1" applyFill="1" applyAlignment="1">
      <alignment horizontal="center"/>
    </xf>
    <xf numFmtId="0" fontId="5" fillId="4" borderId="1" xfId="0" applyFont="1" applyFill="1" applyBorder="1"/>
    <xf numFmtId="0" fontId="6" fillId="3" borderId="1" xfId="0" applyFont="1" applyFill="1" applyBorder="1"/>
    <xf numFmtId="166" fontId="6" fillId="3" borderId="1" xfId="0" applyNumberFormat="1" applyFont="1" applyFill="1" applyBorder="1"/>
    <xf numFmtId="166" fontId="0" fillId="0" borderId="1" xfId="0" applyNumberFormat="1" applyBorder="1"/>
  </cellXfs>
  <cellStyles count="1">
    <cellStyle name="Normal" xfId="0" builtinId="0"/>
  </cellStyles>
  <dxfs count="3">
    <dxf>
      <fill>
        <patternFill patternType="solid">
          <fgColor rgb="FFE2F0D9"/>
        </patternFill>
      </fill>
    </dxf>
    <dxf>
      <fill>
        <patternFill patternType="solid">
          <fgColor rgb="FFFCE4D6"/>
        </patternFill>
      </fill>
    </dxf>
    <dxf>
      <fill>
        <patternFill patternType="solid">
          <fgColor rgb="FFFFF2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Loan Status</a:t>
            </a:r>
          </a:p>
        </c:rich>
      </c:tx>
      <c:layout>
        <c:manualLayout>
          <c:xMode val="edge"/>
          <c:yMode val="edge"/>
          <c:x val="0.33598765432098765"/>
          <c:y val="0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Dashboard!$E$3</c:f>
              <c:strCache>
                <c:ptCount val="1"/>
                <c:pt idx="0">
                  <c:v>Count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shade val="51000"/>
                      <a:satMod val="130000"/>
                    </a:schemeClr>
                  </a:gs>
                  <a:gs pos="80000">
                    <a:schemeClr val="accent5">
                      <a:shade val="93000"/>
                      <a:satMod val="130000"/>
                    </a:schemeClr>
                  </a:gs>
                  <a:gs pos="100000">
                    <a:schemeClr val="accent5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cat>
            <c:strRef>
              <c:f>Dashboard!$D$4:$D$8</c:f>
              <c:strCache>
                <c:ptCount val="5"/>
                <c:pt idx="0">
                  <c:v>Active</c:v>
                </c:pt>
                <c:pt idx="1">
                  <c:v>Overdue</c:v>
                </c:pt>
                <c:pt idx="2">
                  <c:v>Closed</c:v>
                </c:pt>
                <c:pt idx="3">
                  <c:v>Pending</c:v>
                </c:pt>
                <c:pt idx="4">
                  <c:v>On Hold</c:v>
                </c:pt>
              </c:strCache>
            </c:strRef>
          </c:cat>
          <c:val>
            <c:numRef>
              <c:f>Dashboard!$E$4:$E$8</c:f>
              <c:numCache>
                <c:formatCode>General</c:formatCode>
                <c:ptCount val="5"/>
                <c:pt idx="0">
                  <c:v>8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39-4B6B-B1B9-1ED46310A4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1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Outstanding Balance by Loan Type</a:t>
            </a:r>
          </a:p>
        </c:rich>
      </c:tx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Dashboard!$B$13</c:f>
              <c:strCache>
                <c:ptCount val="1"/>
                <c:pt idx="0">
                  <c:v>Outstanding Balance</c:v>
                </c:pt>
              </c:strCache>
            </c:strRef>
          </c:tx>
          <c:invertIfNegative val="1"/>
          <c:dPt>
            <c:idx val="0"/>
            <c:invertIfNegative val="1"/>
            <c:bubble3D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1"/>
            <c:invertIfNegative val="1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2"/>
            <c:invertIfNegative val="1"/>
            <c:bubble3D val="0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3"/>
            <c:invertIfNegative val="1"/>
            <c:bubble3D val="0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4"/>
            <c:invertIfNegative val="1"/>
            <c:bubble3D val="0"/>
            <c:spPr>
              <a:gradFill rotWithShape="1">
                <a:gsLst>
                  <a:gs pos="0">
                    <a:schemeClr val="accent5">
                      <a:shade val="51000"/>
                      <a:satMod val="130000"/>
                    </a:schemeClr>
                  </a:gs>
                  <a:gs pos="80000">
                    <a:schemeClr val="accent5">
                      <a:shade val="93000"/>
                      <a:satMod val="130000"/>
                    </a:schemeClr>
                  </a:gs>
                  <a:gs pos="100000">
                    <a:schemeClr val="accent5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5"/>
            <c:invertIfNegative val="1"/>
            <c:bubble3D val="0"/>
            <c:spPr>
              <a:gradFill rotWithShape="1">
                <a:gsLst>
                  <a:gs pos="0">
                    <a:schemeClr val="accent6">
                      <a:shade val="51000"/>
                      <a:satMod val="130000"/>
                    </a:schemeClr>
                  </a:gs>
                  <a:gs pos="80000">
                    <a:schemeClr val="accent6">
                      <a:shade val="93000"/>
                      <a:satMod val="130000"/>
                    </a:schemeClr>
                  </a:gs>
                  <a:gs pos="100000">
                    <a:schemeClr val="accent6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6"/>
            <c:invertIfNegative val="1"/>
            <c:bubble3D val="0"/>
            <c:spPr>
              <a:gradFill rotWithShape="1">
                <a:gsLst>
                  <a:gs pos="0">
                    <a:schemeClr val="accent1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1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1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cat>
            <c:strRef>
              <c:f>Dashboard!$A$14:$A$20</c:f>
              <c:strCache>
                <c:ptCount val="7"/>
                <c:pt idx="0">
                  <c:v>Personal Loan</c:v>
                </c:pt>
                <c:pt idx="1">
                  <c:v>Education Loan</c:v>
                </c:pt>
                <c:pt idx="2">
                  <c:v>Business Loan</c:v>
                </c:pt>
                <c:pt idx="3">
                  <c:v>Vehicle Loan</c:v>
                </c:pt>
                <c:pt idx="4">
                  <c:v>Home Improvement</c:v>
                </c:pt>
                <c:pt idx="5">
                  <c:v>Emergency Loan</c:v>
                </c:pt>
                <c:pt idx="6">
                  <c:v>Other</c:v>
                </c:pt>
              </c:strCache>
            </c:strRef>
          </c:cat>
          <c:val>
            <c:numRef>
              <c:f>Dashboard!$B$14:$B$20</c:f>
              <c:numCache>
                <c:formatCode>\₹#,##0.00</c:formatCode>
                <c:ptCount val="7"/>
                <c:pt idx="0">
                  <c:v>113839.99999999999</c:v>
                </c:pt>
                <c:pt idx="1">
                  <c:v>568137.5</c:v>
                </c:pt>
                <c:pt idx="2">
                  <c:v>609125</c:v>
                </c:pt>
                <c:pt idx="3">
                  <c:v>499065</c:v>
                </c:pt>
                <c:pt idx="4">
                  <c:v>206300</c:v>
                </c:pt>
                <c:pt idx="5">
                  <c:v>74808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87-4241-ACAA-0ECCB2C1B8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0"/>
        <c:axId val="100"/>
      </c:barChart>
      <c:catAx>
        <c:axId val="1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Loan Type</a:t>
                </a:r>
              </a:p>
            </c:rich>
          </c:tx>
          <c:overlay val="1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cap="all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Amount</a:t>
                </a:r>
              </a:p>
            </c:rich>
          </c:tx>
          <c:overlay val="1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cap="all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\₹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1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7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900543</xdr:colOff>
      <xdr:row>22</xdr:row>
      <xdr:rowOff>46182</xdr:rowOff>
    </xdr:from>
    <xdr:ext cx="3240000" cy="25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22</xdr:row>
      <xdr:rowOff>173182</xdr:rowOff>
    </xdr:from>
    <xdr:ext cx="4680000" cy="252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"/>
  <sheetViews>
    <sheetView zoomScale="70" zoomScaleNormal="70" workbookViewId="0">
      <pane ySplit="4" topLeftCell="A5" activePane="bottomLeft" state="frozen"/>
      <selection pane="bottomLeft" activeCell="F7" sqref="F7"/>
    </sheetView>
  </sheetViews>
  <sheetFormatPr defaultRowHeight="14.5" x14ac:dyDescent="0.35"/>
  <cols>
    <col min="1" max="1" width="12" customWidth="1"/>
    <col min="2" max="3" width="20" customWidth="1"/>
    <col min="4" max="5" width="15" customWidth="1"/>
    <col min="6" max="6" width="17" customWidth="1"/>
    <col min="7" max="7" width="14" customWidth="1"/>
    <col min="8" max="10" width="16" customWidth="1"/>
    <col min="11" max="11" width="20" customWidth="1"/>
    <col min="12" max="13" width="18" customWidth="1"/>
    <col min="14" max="14" width="14" customWidth="1"/>
    <col min="15" max="15" width="28" customWidth="1"/>
  </cols>
  <sheetData>
    <row r="1" spans="1:15" s="6" customFormat="1" ht="30" customHeight="1" x14ac:dyDescent="0.3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x14ac:dyDescent="0.35">
      <c r="A2" s="19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4" spans="1:15" s="7" customFormat="1" ht="35" customHeight="1" x14ac:dyDescent="0.35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7" t="s">
        <v>12</v>
      </c>
      <c r="L4" s="7" t="s">
        <v>13</v>
      </c>
      <c r="M4" s="7" t="s">
        <v>14</v>
      </c>
      <c r="N4" s="7" t="s">
        <v>15</v>
      </c>
      <c r="O4" s="7" t="s">
        <v>16</v>
      </c>
    </row>
    <row r="5" spans="1:15" s="13" customFormat="1" x14ac:dyDescent="0.35">
      <c r="A5" s="9" t="s">
        <v>17</v>
      </c>
      <c r="B5" s="9" t="s">
        <v>69</v>
      </c>
      <c r="C5" s="9" t="s">
        <v>18</v>
      </c>
      <c r="D5" s="10">
        <v>46032</v>
      </c>
      <c r="E5" s="10">
        <v>46397</v>
      </c>
      <c r="F5" s="11">
        <v>200000</v>
      </c>
      <c r="G5" s="12">
        <v>0.12</v>
      </c>
      <c r="H5" s="11">
        <f t="shared" ref="H5:H14" si="0">F5*G5*IF(C5="Education Loan",1,IF(C5="Vehicle Loan",0.2,IF(C5="Business Loan",0.2,0.3)))</f>
        <v>7200</v>
      </c>
      <c r="I5" s="11">
        <f t="shared" ref="I5:I14" si="1">F5+H5</f>
        <v>207200</v>
      </c>
      <c r="J5" s="11">
        <f>I5*0.55</f>
        <v>113960.00000000001</v>
      </c>
      <c r="K5" s="11">
        <f t="shared" ref="K5:K14" si="2">MAX(I5-J5,0)</f>
        <v>93239.999999999985</v>
      </c>
      <c r="L5" s="10">
        <v>46305</v>
      </c>
      <c r="M5" s="9" t="s">
        <v>19</v>
      </c>
      <c r="N5" s="9" t="s">
        <v>20</v>
      </c>
      <c r="O5" s="9" t="s">
        <v>21</v>
      </c>
    </row>
    <row r="6" spans="1:15" s="13" customFormat="1" x14ac:dyDescent="0.35">
      <c r="A6" s="14" t="s">
        <v>22</v>
      </c>
      <c r="B6" s="14" t="s">
        <v>23</v>
      </c>
      <c r="C6" s="14" t="s">
        <v>24</v>
      </c>
      <c r="D6" s="15">
        <v>45853</v>
      </c>
      <c r="E6" s="15">
        <v>46949</v>
      </c>
      <c r="F6" s="16">
        <v>350000</v>
      </c>
      <c r="G6" s="17">
        <v>8.5000000000000006E-2</v>
      </c>
      <c r="H6" s="16">
        <f t="shared" si="0"/>
        <v>29750.000000000004</v>
      </c>
      <c r="I6" s="16">
        <f t="shared" si="1"/>
        <v>379750</v>
      </c>
      <c r="J6" s="16">
        <f>I6*0.35</f>
        <v>132912.5</v>
      </c>
      <c r="K6" s="16">
        <f t="shared" si="2"/>
        <v>246837.5</v>
      </c>
      <c r="L6" s="15">
        <v>46310</v>
      </c>
      <c r="M6" s="14" t="s">
        <v>19</v>
      </c>
      <c r="N6" s="14" t="s">
        <v>20</v>
      </c>
      <c r="O6" s="14" t="s">
        <v>25</v>
      </c>
    </row>
    <row r="7" spans="1:15" s="13" customFormat="1" x14ac:dyDescent="0.35">
      <c r="A7" s="9" t="s">
        <v>26</v>
      </c>
      <c r="B7" s="9" t="s">
        <v>70</v>
      </c>
      <c r="C7" s="9" t="s">
        <v>27</v>
      </c>
      <c r="D7" s="10">
        <v>46058</v>
      </c>
      <c r="E7" s="10">
        <v>46788</v>
      </c>
      <c r="F7" s="11">
        <v>500000</v>
      </c>
      <c r="G7" s="12">
        <v>0.115</v>
      </c>
      <c r="H7" s="11">
        <f t="shared" si="0"/>
        <v>11500</v>
      </c>
      <c r="I7" s="11">
        <f t="shared" si="1"/>
        <v>511500</v>
      </c>
      <c r="J7" s="11">
        <f>I7*0.25</f>
        <v>127875</v>
      </c>
      <c r="K7" s="11">
        <f t="shared" si="2"/>
        <v>383625</v>
      </c>
      <c r="L7" s="10">
        <v>46331</v>
      </c>
      <c r="M7" s="9" t="s">
        <v>28</v>
      </c>
      <c r="N7" s="9" t="s">
        <v>20</v>
      </c>
      <c r="O7" s="9" t="s">
        <v>29</v>
      </c>
    </row>
    <row r="8" spans="1:15" s="13" customFormat="1" x14ac:dyDescent="0.35">
      <c r="A8" s="14" t="s">
        <v>30</v>
      </c>
      <c r="B8" s="14" t="s">
        <v>31</v>
      </c>
      <c r="C8" s="14" t="s">
        <v>18</v>
      </c>
      <c r="D8" s="15">
        <v>45981</v>
      </c>
      <c r="E8" s="15">
        <v>46346</v>
      </c>
      <c r="F8" s="16">
        <v>100000</v>
      </c>
      <c r="G8" s="17">
        <v>0.1</v>
      </c>
      <c r="H8" s="16">
        <f t="shared" si="0"/>
        <v>3000</v>
      </c>
      <c r="I8" s="16">
        <f t="shared" si="1"/>
        <v>103000</v>
      </c>
      <c r="J8" s="16">
        <f>I8*0.8</f>
        <v>82400</v>
      </c>
      <c r="K8" s="16">
        <f t="shared" si="2"/>
        <v>20600</v>
      </c>
      <c r="L8" s="15">
        <v>46315</v>
      </c>
      <c r="M8" s="14" t="s">
        <v>19</v>
      </c>
      <c r="N8" s="14" t="s">
        <v>32</v>
      </c>
      <c r="O8" s="14" t="s">
        <v>33</v>
      </c>
    </row>
    <row r="9" spans="1:15" s="13" customFormat="1" x14ac:dyDescent="0.35">
      <c r="A9" s="9" t="s">
        <v>34</v>
      </c>
      <c r="B9" s="9" t="s">
        <v>35</v>
      </c>
      <c r="C9" s="9" t="s">
        <v>36</v>
      </c>
      <c r="D9" s="10">
        <v>45717</v>
      </c>
      <c r="E9" s="10">
        <v>47178</v>
      </c>
      <c r="F9" s="11">
        <v>700000</v>
      </c>
      <c r="G9" s="12">
        <v>9.2499999999999999E-2</v>
      </c>
      <c r="H9" s="11">
        <f t="shared" si="0"/>
        <v>12950</v>
      </c>
      <c r="I9" s="11">
        <f t="shared" si="1"/>
        <v>712950</v>
      </c>
      <c r="J9" s="11">
        <f>I9*0.3</f>
        <v>213885</v>
      </c>
      <c r="K9" s="11">
        <f t="shared" si="2"/>
        <v>499065</v>
      </c>
      <c r="L9" s="10">
        <v>46296</v>
      </c>
      <c r="M9" s="9" t="s">
        <v>19</v>
      </c>
      <c r="N9" s="9" t="s">
        <v>20</v>
      </c>
      <c r="O9" s="9" t="s">
        <v>37</v>
      </c>
    </row>
    <row r="10" spans="1:15" s="13" customFormat="1" x14ac:dyDescent="0.35">
      <c r="A10" s="14" t="s">
        <v>38</v>
      </c>
      <c r="B10" s="14" t="s">
        <v>71</v>
      </c>
      <c r="C10" s="14" t="s">
        <v>39</v>
      </c>
      <c r="D10" s="15">
        <v>46124</v>
      </c>
      <c r="E10" s="15">
        <v>46855</v>
      </c>
      <c r="F10" s="16">
        <v>250000</v>
      </c>
      <c r="G10" s="17">
        <v>0.105</v>
      </c>
      <c r="H10" s="16">
        <f t="shared" si="0"/>
        <v>7875</v>
      </c>
      <c r="I10" s="16">
        <f t="shared" si="1"/>
        <v>257875</v>
      </c>
      <c r="J10" s="16">
        <f>I10*0.2</f>
        <v>51575</v>
      </c>
      <c r="K10" s="16">
        <f t="shared" si="2"/>
        <v>206300</v>
      </c>
      <c r="L10" s="15">
        <v>46307</v>
      </c>
      <c r="M10" s="14" t="s">
        <v>19</v>
      </c>
      <c r="N10" s="14" t="s">
        <v>20</v>
      </c>
      <c r="O10" s="14" t="s">
        <v>40</v>
      </c>
    </row>
    <row r="11" spans="1:15" s="13" customFormat="1" x14ac:dyDescent="0.35">
      <c r="A11" s="9" t="s">
        <v>41</v>
      </c>
      <c r="B11" s="9" t="s">
        <v>42</v>
      </c>
      <c r="C11" s="9" t="s">
        <v>27</v>
      </c>
      <c r="D11" s="10">
        <v>45908</v>
      </c>
      <c r="E11" s="10">
        <v>46638</v>
      </c>
      <c r="F11" s="11">
        <v>400000</v>
      </c>
      <c r="G11" s="12">
        <v>0.125</v>
      </c>
      <c r="H11" s="11">
        <f t="shared" si="0"/>
        <v>10000</v>
      </c>
      <c r="I11" s="11">
        <f t="shared" si="1"/>
        <v>410000</v>
      </c>
      <c r="J11" s="11">
        <f>I11*0.45</f>
        <v>184500</v>
      </c>
      <c r="K11" s="11">
        <f t="shared" si="2"/>
        <v>225500</v>
      </c>
      <c r="L11" s="10">
        <v>46303</v>
      </c>
      <c r="M11" s="9" t="s">
        <v>19</v>
      </c>
      <c r="N11" s="9" t="s">
        <v>20</v>
      </c>
      <c r="O11" s="9" t="s">
        <v>43</v>
      </c>
    </row>
    <row r="12" spans="1:15" s="13" customFormat="1" x14ac:dyDescent="0.35">
      <c r="A12" s="14" t="s">
        <v>44</v>
      </c>
      <c r="B12" s="14" t="s">
        <v>45</v>
      </c>
      <c r="C12" s="14" t="s">
        <v>18</v>
      </c>
      <c r="D12" s="15">
        <v>45802</v>
      </c>
      <c r="E12" s="15">
        <v>46167</v>
      </c>
      <c r="F12" s="16">
        <v>80000</v>
      </c>
      <c r="G12" s="17">
        <v>0.09</v>
      </c>
      <c r="H12" s="16">
        <f t="shared" si="0"/>
        <v>2160</v>
      </c>
      <c r="I12" s="16">
        <f t="shared" si="1"/>
        <v>82160</v>
      </c>
      <c r="J12" s="16">
        <f>I12*1</f>
        <v>82160</v>
      </c>
      <c r="K12" s="16">
        <f t="shared" si="2"/>
        <v>0</v>
      </c>
      <c r="L12" s="15">
        <v>46137</v>
      </c>
      <c r="M12" s="14" t="s">
        <v>19</v>
      </c>
      <c r="N12" s="14" t="s">
        <v>46</v>
      </c>
      <c r="O12" s="14" t="s">
        <v>47</v>
      </c>
    </row>
    <row r="13" spans="1:15" s="13" customFormat="1" x14ac:dyDescent="0.35">
      <c r="A13" s="9" t="s">
        <v>48</v>
      </c>
      <c r="B13" s="9" t="s">
        <v>49</v>
      </c>
      <c r="C13" s="9" t="s">
        <v>24</v>
      </c>
      <c r="D13" s="10">
        <v>46191</v>
      </c>
      <c r="E13" s="10">
        <v>47287</v>
      </c>
      <c r="F13" s="11">
        <v>350000</v>
      </c>
      <c r="G13" s="12">
        <v>0.08</v>
      </c>
      <c r="H13" s="11">
        <f t="shared" si="0"/>
        <v>28000</v>
      </c>
      <c r="I13" s="11">
        <f t="shared" si="1"/>
        <v>378000</v>
      </c>
      <c r="J13" s="11">
        <f>I13*0.15</f>
        <v>56700</v>
      </c>
      <c r="K13" s="11">
        <f t="shared" si="2"/>
        <v>321300</v>
      </c>
      <c r="L13" s="10">
        <v>46374</v>
      </c>
      <c r="M13" s="9" t="s">
        <v>28</v>
      </c>
      <c r="N13" s="9" t="s">
        <v>20</v>
      </c>
      <c r="O13" s="9" t="s">
        <v>50</v>
      </c>
    </row>
    <row r="14" spans="1:15" s="13" customFormat="1" x14ac:dyDescent="0.35">
      <c r="A14" s="14" t="s">
        <v>51</v>
      </c>
      <c r="B14" s="14" t="s">
        <v>72</v>
      </c>
      <c r="C14" s="14" t="s">
        <v>52</v>
      </c>
      <c r="D14" s="15">
        <v>46111</v>
      </c>
      <c r="E14" s="15">
        <v>46476</v>
      </c>
      <c r="F14" s="16">
        <v>120000</v>
      </c>
      <c r="G14" s="17">
        <v>0.13</v>
      </c>
      <c r="H14" s="16">
        <f t="shared" si="0"/>
        <v>4680</v>
      </c>
      <c r="I14" s="16">
        <f t="shared" si="1"/>
        <v>124680</v>
      </c>
      <c r="J14" s="16">
        <f>I14*0.4</f>
        <v>49872</v>
      </c>
      <c r="K14" s="16">
        <f t="shared" si="2"/>
        <v>74808</v>
      </c>
      <c r="L14" s="15">
        <v>46325</v>
      </c>
      <c r="M14" s="14" t="s">
        <v>19</v>
      </c>
      <c r="N14" s="14" t="s">
        <v>20</v>
      </c>
      <c r="O14" s="14" t="s">
        <v>53</v>
      </c>
    </row>
    <row r="16" spans="1:15" x14ac:dyDescent="0.35">
      <c r="A16" s="3" t="s">
        <v>54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</sheetData>
  <mergeCells count="3">
    <mergeCell ref="A1:O1"/>
    <mergeCell ref="A16:O16"/>
    <mergeCell ref="A2:O2"/>
  </mergeCells>
  <conditionalFormatting sqref="K5:K1000">
    <cfRule type="cellIs" dxfId="2" priority="1" operator="greaterThan">
      <formula>0</formula>
    </cfRule>
  </conditionalFormatting>
  <conditionalFormatting sqref="N5:N1000">
    <cfRule type="expression" dxfId="1" priority="2">
      <formula>$N5="Overdue"</formula>
    </cfRule>
    <cfRule type="expression" dxfId="0" priority="3">
      <formula>$N5="Closed"</formula>
    </cfRule>
  </conditionalFormatting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xr:uid="{00000000-0002-0000-0000-000000000000}">
          <x14:formula1>
            <xm:f>Lists!$A$1:$A$7</xm:f>
          </x14:formula1>
          <xm:sqref>C5:C1000</xm:sqref>
        </x14:dataValidation>
        <x14:dataValidation type="list" xr:uid="{00000000-0002-0000-0000-000001000000}">
          <x14:formula1>
            <xm:f>Lists!$B$1:$B$5</xm:f>
          </x14:formula1>
          <xm:sqref>M5:M1000</xm:sqref>
        </x14:dataValidation>
        <x14:dataValidation type="list" xr:uid="{00000000-0002-0000-0000-000002000000}">
          <x14:formula1>
            <xm:f>Lists!$C$1:$C$5</xm:f>
          </x14:formula1>
          <xm:sqref>N5:N1000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0"/>
  <sheetViews>
    <sheetView tabSelected="1" zoomScale="55" zoomScaleNormal="55" workbookViewId="0">
      <pane ySplit="2" topLeftCell="A5" activePane="bottomLeft" state="frozen"/>
      <selection pane="bottomLeft" activeCell="I11" sqref="I11"/>
    </sheetView>
  </sheetViews>
  <sheetFormatPr defaultRowHeight="14.5" x14ac:dyDescent="0.35"/>
  <cols>
    <col min="1" max="2" width="24" customWidth="1"/>
    <col min="4" max="5" width="24" customWidth="1"/>
  </cols>
  <sheetData>
    <row r="1" spans="1:8" ht="30" customHeight="1" x14ac:dyDescent="0.35">
      <c r="A1" s="4" t="s">
        <v>55</v>
      </c>
      <c r="B1" s="20"/>
      <c r="C1" s="20"/>
      <c r="D1" s="20"/>
      <c r="E1" s="20"/>
      <c r="F1" s="20"/>
      <c r="G1" s="20"/>
      <c r="H1" s="20"/>
    </row>
    <row r="3" spans="1:8" ht="15.5" x14ac:dyDescent="0.35">
      <c r="A3" s="22" t="s">
        <v>56</v>
      </c>
      <c r="B3" s="23">
        <f>COUNTA('Loan Tracker'!A5:A1000)</f>
        <v>11</v>
      </c>
      <c r="D3" s="21" t="s">
        <v>15</v>
      </c>
      <c r="E3" s="21" t="s">
        <v>57</v>
      </c>
    </row>
    <row r="4" spans="1:8" ht="15.5" x14ac:dyDescent="0.35">
      <c r="A4" s="22" t="s">
        <v>58</v>
      </c>
      <c r="B4" s="24">
        <f>SUM('Loan Tracker'!F5:F1000)</f>
        <v>3050000</v>
      </c>
      <c r="D4" s="8" t="s">
        <v>20</v>
      </c>
      <c r="E4" s="8">
        <f>COUNTIF('Loan Tracker'!N5:N1000,D4)</f>
        <v>8</v>
      </c>
    </row>
    <row r="5" spans="1:8" ht="15.5" x14ac:dyDescent="0.35">
      <c r="A5" s="22" t="s">
        <v>10</v>
      </c>
      <c r="B5" s="24">
        <f>SUM('Loan Tracker'!I5:I1000)</f>
        <v>3167115</v>
      </c>
      <c r="D5" s="8" t="s">
        <v>32</v>
      </c>
      <c r="E5" s="8">
        <f>COUNTIF('Loan Tracker'!N5:N1000,D5)</f>
        <v>1</v>
      </c>
    </row>
    <row r="6" spans="1:8" ht="15.5" x14ac:dyDescent="0.35">
      <c r="A6" s="22" t="s">
        <v>11</v>
      </c>
      <c r="B6" s="24">
        <f>SUM('Loan Tracker'!J5:J1000)</f>
        <v>1095839.5</v>
      </c>
      <c r="D6" s="8" t="s">
        <v>46</v>
      </c>
      <c r="E6" s="8">
        <f>COUNTIF('Loan Tracker'!N5:N1000,D6)</f>
        <v>1</v>
      </c>
    </row>
    <row r="7" spans="1:8" ht="15.5" x14ac:dyDescent="0.35">
      <c r="A7" s="22" t="s">
        <v>12</v>
      </c>
      <c r="B7" s="24">
        <f>SUM('Loan Tracker'!K5:K1000)</f>
        <v>2071275.5</v>
      </c>
      <c r="D7" s="8" t="s">
        <v>59</v>
      </c>
      <c r="E7" s="8">
        <f>COUNTIF('Loan Tracker'!N5:N1000,D7)</f>
        <v>0</v>
      </c>
    </row>
    <row r="8" spans="1:8" ht="15.5" x14ac:dyDescent="0.35">
      <c r="A8" s="22" t="s">
        <v>60</v>
      </c>
      <c r="B8" s="23">
        <f>COUNTIF('Loan Tracker'!N5:N1000,"Overdue")</f>
        <v>1</v>
      </c>
      <c r="D8" s="8" t="s">
        <v>61</v>
      </c>
      <c r="E8" s="8">
        <f>COUNTIF('Loan Tracker'!N5:N1000,D8)</f>
        <v>0</v>
      </c>
    </row>
    <row r="9" spans="1:8" ht="15.5" x14ac:dyDescent="0.35">
      <c r="A9" s="22" t="s">
        <v>62</v>
      </c>
      <c r="B9" s="23">
        <f>COUNTIF('Loan Tracker'!N5:N1000,"Active")</f>
        <v>8</v>
      </c>
    </row>
    <row r="10" spans="1:8" ht="15.5" x14ac:dyDescent="0.35">
      <c r="A10" s="22" t="s">
        <v>63</v>
      </c>
      <c r="B10" s="23">
        <f>COUNTIF('Loan Tracker'!N5:N1000,"Closed")</f>
        <v>1</v>
      </c>
    </row>
    <row r="13" spans="1:8" x14ac:dyDescent="0.35">
      <c r="A13" s="21" t="s">
        <v>4</v>
      </c>
      <c r="B13" s="21" t="s">
        <v>12</v>
      </c>
    </row>
    <row r="14" spans="1:8" x14ac:dyDescent="0.35">
      <c r="A14" s="8" t="s">
        <v>18</v>
      </c>
      <c r="B14" s="25">
        <f>SUMIF('Loan Tracker'!C5:C1000,A14,'Loan Tracker'!K5:K1000)</f>
        <v>113839.99999999999</v>
      </c>
    </row>
    <row r="15" spans="1:8" x14ac:dyDescent="0.35">
      <c r="A15" s="8" t="s">
        <v>24</v>
      </c>
      <c r="B15" s="25">
        <f>SUMIF('Loan Tracker'!C5:C1000,A15,'Loan Tracker'!K5:K1000)</f>
        <v>568137.5</v>
      </c>
    </row>
    <row r="16" spans="1:8" x14ac:dyDescent="0.35">
      <c r="A16" s="8" t="s">
        <v>27</v>
      </c>
      <c r="B16" s="25">
        <f>SUMIF('Loan Tracker'!C5:C1000,A16,'Loan Tracker'!K5:K1000)</f>
        <v>609125</v>
      </c>
    </row>
    <row r="17" spans="1:2" x14ac:dyDescent="0.35">
      <c r="A17" s="8" t="s">
        <v>36</v>
      </c>
      <c r="B17" s="25">
        <f>SUMIF('Loan Tracker'!C5:C1000,A17,'Loan Tracker'!K5:K1000)</f>
        <v>499065</v>
      </c>
    </row>
    <row r="18" spans="1:2" x14ac:dyDescent="0.35">
      <c r="A18" s="8" t="s">
        <v>39</v>
      </c>
      <c r="B18" s="25">
        <f>SUMIF('Loan Tracker'!C5:C1000,A18,'Loan Tracker'!K5:K1000)</f>
        <v>206300</v>
      </c>
    </row>
    <row r="19" spans="1:2" x14ac:dyDescent="0.35">
      <c r="A19" s="8" t="s">
        <v>52</v>
      </c>
      <c r="B19" s="25">
        <f>SUMIF('Loan Tracker'!C5:C1000,A19,'Loan Tracker'!K5:K1000)</f>
        <v>74808</v>
      </c>
    </row>
    <row r="20" spans="1:2" x14ac:dyDescent="0.35">
      <c r="A20" s="8" t="s">
        <v>64</v>
      </c>
      <c r="B20" s="25">
        <f>SUMIF('Loan Tracker'!C5:C1000,A20,'Loan Tracker'!K5:K1000)</f>
        <v>0</v>
      </c>
    </row>
  </sheetData>
  <mergeCells count="1">
    <mergeCell ref="A1:H1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0"/>
  <sheetViews>
    <sheetView workbookViewId="0"/>
  </sheetViews>
  <sheetFormatPr defaultRowHeight="14.5" x14ac:dyDescent="0.35"/>
  <sheetData>
    <row r="1" spans="1:3" x14ac:dyDescent="0.35">
      <c r="A1" t="s">
        <v>18</v>
      </c>
      <c r="B1" t="s">
        <v>19</v>
      </c>
      <c r="C1" t="s">
        <v>20</v>
      </c>
    </row>
    <row r="2" spans="1:3" x14ac:dyDescent="0.35">
      <c r="A2" t="s">
        <v>24</v>
      </c>
      <c r="B2" t="s">
        <v>28</v>
      </c>
      <c r="C2" t="s">
        <v>32</v>
      </c>
    </row>
    <row r="3" spans="1:3" x14ac:dyDescent="0.35">
      <c r="A3" t="s">
        <v>27</v>
      </c>
      <c r="B3" t="s">
        <v>65</v>
      </c>
      <c r="C3" t="s">
        <v>46</v>
      </c>
    </row>
    <row r="4" spans="1:3" x14ac:dyDescent="0.35">
      <c r="A4" t="s">
        <v>36</v>
      </c>
      <c r="B4" t="s">
        <v>66</v>
      </c>
      <c r="C4" t="s">
        <v>59</v>
      </c>
    </row>
    <row r="5" spans="1:3" x14ac:dyDescent="0.35">
      <c r="A5" t="s">
        <v>39</v>
      </c>
      <c r="B5" t="s">
        <v>67</v>
      </c>
      <c r="C5" t="s">
        <v>61</v>
      </c>
    </row>
    <row r="6" spans="1:3" x14ac:dyDescent="0.35">
      <c r="A6" t="s">
        <v>52</v>
      </c>
    </row>
    <row r="7" spans="1:3" x14ac:dyDescent="0.35">
      <c r="A7" t="s">
        <v>64</v>
      </c>
    </row>
    <row r="10" spans="1:3" x14ac:dyDescent="0.35">
      <c r="A10" s="1" t="s">
        <v>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Loan Tracker</vt:lpstr>
      <vt:lpstr>Dashboard</vt:lpstr>
      <vt:lpstr>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Loan Tracker Excel Sheet</dc:title>
  <dc:subject>Professional loan tracking and repayment workbook</dc:subject>
  <dc:creator>Excel Template Designer</dc:creator>
  <cp:lastModifiedBy>pm</cp:lastModifiedBy>
  <dcterms:created xsi:type="dcterms:W3CDTF">2026-09-15T06:18:12Z</dcterms:created>
  <dcterms:modified xsi:type="dcterms:W3CDTF">2026-09-24T16:47:48Z</dcterms:modified>
</cp:coreProperties>
</file>